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GitHubConnections\mywebsite\src\teaching\courses\busan500a\content\"/>
    </mc:Choice>
  </mc:AlternateContent>
  <xr:revisionPtr revIDLastSave="0" documentId="13_ncr:1_{3BA3AA71-6400-44E0-9D1F-6D727F723DA4}" xr6:coauthVersionLast="47" xr6:coauthVersionMax="47" xr10:uidLastSave="{00000000-0000-0000-0000-000000000000}"/>
  <bookViews>
    <workbookView xWindow="135" yWindow="195" windowWidth="19185" windowHeight="11265" activeTab="2" xr2:uid="{00000000-000D-0000-FFFF-FFFF00000000}"/>
  </bookViews>
  <sheets>
    <sheet name="Assumptions" sheetId="1" r:id="rId1"/>
    <sheet name="Buy Strategy" sheetId="2" r:id="rId2"/>
    <sheet name="Build Strategy" sheetId="3" r:id="rId3"/>
    <sheet name="Hybrid Strategy" sheetId="4" r:id="rId4"/>
    <sheet name="NPV Summary" sheetId="5" r:id="rId5"/>
    <sheet name="Sensitivity"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6" l="1"/>
  <c r="C6" i="6"/>
  <c r="D10" i="6" s="1"/>
  <c r="B6" i="6"/>
  <c r="B5" i="6"/>
  <c r="C5" i="6" s="1"/>
  <c r="D4" i="6"/>
  <c r="C4" i="6"/>
  <c r="B10" i="6" s="1"/>
  <c r="B4" i="6"/>
  <c r="E13" i="4"/>
  <c r="D13" i="4"/>
  <c r="C13" i="4"/>
  <c r="B13" i="4"/>
  <c r="C12" i="4"/>
  <c r="D12" i="4" s="1"/>
  <c r="E12" i="4" s="1"/>
  <c r="B12" i="4"/>
  <c r="B11" i="4"/>
  <c r="C11" i="4" s="1"/>
  <c r="D11" i="4" s="1"/>
  <c r="E11" i="4" s="1"/>
  <c r="B10" i="4"/>
  <c r="B9" i="4"/>
  <c r="B14" i="4" s="1"/>
  <c r="E8" i="4"/>
  <c r="D8" i="4"/>
  <c r="C8" i="4"/>
  <c r="B8" i="4"/>
  <c r="E7" i="4"/>
  <c r="D7" i="4"/>
  <c r="C7" i="4"/>
  <c r="B7" i="4"/>
  <c r="E14" i="3"/>
  <c r="D14" i="3"/>
  <c r="C14" i="3"/>
  <c r="B14" i="3"/>
  <c r="B12" i="3"/>
  <c r="C12" i="3" s="1"/>
  <c r="D12" i="3" s="1"/>
  <c r="E12" i="3" s="1"/>
  <c r="B11" i="3"/>
  <c r="C11" i="3" s="1"/>
  <c r="D11" i="3" s="1"/>
  <c r="E11" i="3" s="1"/>
  <c r="B10" i="3"/>
  <c r="E9" i="3"/>
  <c r="D9" i="3"/>
  <c r="C9" i="3"/>
  <c r="B9" i="3"/>
  <c r="E8" i="3"/>
  <c r="D8" i="3"/>
  <c r="C8" i="3"/>
  <c r="B8" i="3"/>
  <c r="E7" i="3"/>
  <c r="D7" i="3"/>
  <c r="C7" i="3"/>
  <c r="B7" i="3"/>
  <c r="B11" i="2"/>
  <c r="C11" i="2" s="1"/>
  <c r="D11" i="2" s="1"/>
  <c r="E11" i="2" s="1"/>
  <c r="B10" i="2"/>
  <c r="C10" i="2" s="1"/>
  <c r="D10" i="2" s="1"/>
  <c r="E10" i="2" s="1"/>
  <c r="B9" i="2"/>
  <c r="C9" i="2" s="1"/>
  <c r="D9" i="2" s="1"/>
  <c r="E9" i="2" s="1"/>
  <c r="B8" i="2"/>
  <c r="B13" i="3" s="1"/>
  <c r="C7" i="2"/>
  <c r="B7" i="2"/>
  <c r="B12" i="2" s="1"/>
  <c r="D5" i="6" l="1"/>
  <c r="C10" i="6" s="1"/>
  <c r="B4" i="5"/>
  <c r="B13" i="2"/>
  <c r="B15" i="4"/>
  <c r="B6" i="5"/>
  <c r="C10" i="4"/>
  <c r="D7" i="2"/>
  <c r="C8" i="2"/>
  <c r="C10" i="3"/>
  <c r="B15" i="3"/>
  <c r="B5" i="5" l="1"/>
  <c r="B16" i="3"/>
  <c r="D10" i="3"/>
  <c r="C13" i="3"/>
  <c r="C15" i="3" s="1"/>
  <c r="D8" i="2"/>
  <c r="C9" i="4"/>
  <c r="C14" i="4" s="1"/>
  <c r="D10" i="4"/>
  <c r="D12" i="2"/>
  <c r="E7" i="2"/>
  <c r="C12" i="2"/>
  <c r="C5" i="5" l="1"/>
  <c r="C16" i="3"/>
  <c r="C13" i="2"/>
  <c r="C4" i="5"/>
  <c r="E10" i="4"/>
  <c r="C15" i="4"/>
  <c r="C6" i="5"/>
  <c r="D13" i="2"/>
  <c r="D4" i="5"/>
  <c r="D13" i="3"/>
  <c r="D15" i="3" s="1"/>
  <c r="D9" i="4"/>
  <c r="D14" i="4" s="1"/>
  <c r="E8" i="2"/>
  <c r="E12" i="2" s="1"/>
  <c r="E10" i="3"/>
  <c r="H4" i="5" l="1"/>
  <c r="G4" i="5"/>
  <c r="E4" i="5"/>
  <c r="F4" i="5" s="1"/>
  <c r="E13" i="2"/>
  <c r="D5" i="5"/>
  <c r="D16" i="3"/>
  <c r="D15" i="4"/>
  <c r="D6" i="5"/>
  <c r="E13" i="3"/>
  <c r="E9" i="4"/>
  <c r="E14" i="4" s="1"/>
  <c r="B14" i="2"/>
  <c r="E15" i="4" l="1"/>
  <c r="B16" i="4" s="1"/>
  <c r="E6" i="5"/>
  <c r="E15" i="3"/>
  <c r="H6" i="5" l="1"/>
  <c r="G6" i="5"/>
  <c r="F6" i="5"/>
  <c r="E5" i="5"/>
  <c r="E16" i="3"/>
  <c r="B17" i="3" s="1"/>
  <c r="F5" i="5" l="1"/>
  <c r="G5" i="5"/>
  <c r="H5" i="5"/>
</calcChain>
</file>

<file path=xl/sharedStrings.xml><?xml version="1.0" encoding="utf-8"?>
<sst xmlns="http://schemas.openxmlformats.org/spreadsheetml/2006/main" count="203" uniqueCount="123">
  <si>
    <t>Build, Buy, or Hybrid? AI Infrastructure Decision - Assumptions</t>
  </si>
  <si>
    <t>Category</t>
  </si>
  <si>
    <t>Assumption</t>
  </si>
  <si>
    <t>Base Case</t>
  </si>
  <si>
    <t>Low Case</t>
  </si>
  <si>
    <t>High Case</t>
  </si>
  <si>
    <t>Notes</t>
  </si>
  <si>
    <t>General</t>
  </si>
  <si>
    <t>Discount Rate</t>
  </si>
  <si>
    <t>Used for four-year NPV calculations.</t>
  </si>
  <si>
    <t>Analysis Horizon (years)</t>
  </si>
  <si>
    <t>Four-year planning horizon.</t>
  </si>
  <si>
    <t>Usage</t>
  </si>
  <si>
    <t>Annual AI Usage Growth</t>
  </si>
  <si>
    <t>Expected increase in AI-enabled workflows.</t>
  </si>
  <si>
    <t>Buy</t>
  </si>
  <si>
    <t>Subscription Inflation</t>
  </si>
  <si>
    <t>Annual vendor price increase.</t>
  </si>
  <si>
    <t>API Token Cost Growth</t>
  </si>
  <si>
    <t>Future API pricing is uncertain; could fall or rise.</t>
  </si>
  <si>
    <t>Automation License Inflation</t>
  </si>
  <si>
    <t>External automation platform license escalation.</t>
  </si>
  <si>
    <t>Cloud Storage Growth</t>
  </si>
  <si>
    <t>Cloud storage and adjacent tooling growth.</t>
  </si>
  <si>
    <t>Integration Support Growth</t>
  </si>
  <si>
    <t>Support and integration effort escalation.</t>
  </si>
  <si>
    <t>Build</t>
  </si>
  <si>
    <t>GPU Server Infrastructure</t>
  </si>
  <si>
    <t>Initial local server and GPU investment.</t>
  </si>
  <si>
    <t>Setup &amp; Configuration</t>
  </si>
  <si>
    <t>Initial implementation and configuration.</t>
  </si>
  <si>
    <t>Storage &amp; Networking</t>
  </si>
  <si>
    <t>Initial storage/networking required for local build.</t>
  </si>
  <si>
    <t>Electricity &amp; Cooling</t>
  </si>
  <si>
    <t>Annual operating cost in Year 1.</t>
  </si>
  <si>
    <t>Electricity Inflation</t>
  </si>
  <si>
    <t>Power and cooling escalation.</t>
  </si>
  <si>
    <t>Maintenance Growth</t>
  </si>
  <si>
    <t>Maintenance uncertainty for local infrastructure.</t>
  </si>
  <si>
    <t>Open-Source Tooling Support Growth</t>
  </si>
  <si>
    <t>Support cost for open-source tooling.</t>
  </si>
  <si>
    <t>Hardware Replacement Year</t>
  </si>
  <si>
    <t>Potential mid-horizon upgrade/replacement.</t>
  </si>
  <si>
    <t>Replacement Cost % of Initial Hardware</t>
  </si>
  <si>
    <t>Uncertain replacement or major upgrade cost.</t>
  </si>
  <si>
    <t>Residual Hardware Value</t>
  </si>
  <si>
    <t>Estimated salvage value at end of Year 4.</t>
  </si>
  <si>
    <t>External API Use Under Build</t>
  </si>
  <si>
    <t>Share of buy-side API cost still required for specialized tasks.</t>
  </si>
  <si>
    <t>Local AI Efficiency Gain</t>
  </si>
  <si>
    <t>Reduction in local processing support needs from workflow learning.</t>
  </si>
  <si>
    <t>Hybrid</t>
  </si>
  <si>
    <t>Mid-Level AI Server</t>
  </si>
  <si>
    <t>Smaller local server for routine workflows.</t>
  </si>
  <si>
    <t>Hybrid Setup &amp; Integration</t>
  </si>
  <si>
    <t>Initial RPA/API/local model integration.</t>
  </si>
  <si>
    <t>RPA Workflow Reduction in API Usage</t>
  </si>
  <si>
    <t>API usage reduction from deterministic RPA workflow design.</t>
  </si>
  <si>
    <t>API Share Before RPA Reduction</t>
  </si>
  <si>
    <t>Share of buy-side API usage initially retained by hybrid option.</t>
  </si>
  <si>
    <t>Subscription Share Retained</t>
  </si>
  <si>
    <t>Share of buy-side subscriptions retained.</t>
  </si>
  <si>
    <t>RPA &amp; Workflow Automation Year 1</t>
  </si>
  <si>
    <t>Workflow software and automation support.</t>
  </si>
  <si>
    <t>Hybrid Maintenance &amp; Utilities Year 1</t>
  </si>
  <si>
    <t>Annual support, utilities, and administration cost.</t>
  </si>
  <si>
    <t>Hybrid Replacement % of Server</t>
  </si>
  <si>
    <t>Potential Year 3 upgrade to hybrid server stack.</t>
  </si>
  <si>
    <t>Buy Year 1</t>
  </si>
  <si>
    <t>AI Team Subscriptions</t>
  </si>
  <si>
    <t>External AI seats/subscriptions.</t>
  </si>
  <si>
    <t>Premium LLM APIs</t>
  </si>
  <si>
    <t>Year 1 API usage before growth.</t>
  </si>
  <si>
    <t>Automation Platform Licenses</t>
  </si>
  <si>
    <t>External automation/RPA platform costs.</t>
  </si>
  <si>
    <t>AI Storage &amp; Cloud Tools</t>
  </si>
  <si>
    <t>Cloud tools and storage.</t>
  </si>
  <si>
    <t>Integration &amp; Support</t>
  </si>
  <si>
    <t>Support, monitoring, and integration.</t>
  </si>
  <si>
    <t>Buy Strategy: External Subscriptions and API Usage</t>
  </si>
  <si>
    <t>Year 1</t>
  </si>
  <si>
    <t>Year 2</t>
  </si>
  <si>
    <t>Year 3</t>
  </si>
  <si>
    <t>Year 4</t>
  </si>
  <si>
    <t>Year Number</t>
  </si>
  <si>
    <t>Cost Item</t>
  </si>
  <si>
    <t>Total Annual Cost</t>
  </si>
  <si>
    <t>Present Value of Cost @ Base Discount Rate</t>
  </si>
  <si>
    <t>NPV of Cost</t>
  </si>
  <si>
    <t>Build Strategy: Local AI Server Infrastructure</t>
  </si>
  <si>
    <t>Maintenance &amp; Support</t>
  </si>
  <si>
    <t>Open-Source AI Tooling Support</t>
  </si>
  <si>
    <t>Limited External API Usage</t>
  </si>
  <si>
    <t>Hybrid Strategy: Local Server + APIs + RPA-Heavy Workflows</t>
  </si>
  <si>
    <t>Setup &amp; Integration</t>
  </si>
  <si>
    <t>Reduced API Usage</t>
  </si>
  <si>
    <t>Subscriptions Retained</t>
  </si>
  <si>
    <t>RPA &amp; Workflow Automation</t>
  </si>
  <si>
    <t>Hybrid Maintenance &amp; Utilities</t>
  </si>
  <si>
    <t>NPV Summary and Decision Dashboard</t>
  </si>
  <si>
    <t>Strategy</t>
  </si>
  <si>
    <t>NPV @ 8%</t>
  </si>
  <si>
    <t>NPV @ 10%</t>
  </si>
  <si>
    <t>NPV @ 12%</t>
  </si>
  <si>
    <t>Discussion Prompt</t>
  </si>
  <si>
    <t>Use the spreadsheet to recommend Build, Buy, or Hybrid. A lower NPV of cost is financially preferable, but the recommendation should also consider strategic uncertainty, vendor dependence, implementation risk, privacy/governance, and the role of RPA in reducing avoidable API usage.</t>
  </si>
  <si>
    <t>Interpretation Note</t>
  </si>
  <si>
    <t>The model intentionally makes the financial answer sensitive to assumptions. Hybrid is designed to be attractive in the base case because it reduces API exposure while preserving flexibility. Build becomes more attractive when usage growth is high and implementation risk is low. Buy remains attractive when usage growth is low or when management values flexibility over control.</t>
  </si>
  <si>
    <t>Sensitivity Analysis: API Usage Growth and Strategy Ranking</t>
  </si>
  <si>
    <t>Scenario</t>
  </si>
  <si>
    <t>Buy NPV @ 10%</t>
  </si>
  <si>
    <t>Hybrid NPV @ 10%</t>
  </si>
  <si>
    <t>Low Growth</t>
  </si>
  <si>
    <t>Base Growth</t>
  </si>
  <si>
    <t>High Growth</t>
  </si>
  <si>
    <t>Question</t>
  </si>
  <si>
    <t>Interpretation</t>
  </si>
  <si>
    <t>Which is cheaper: Buy or Hybrid?</t>
  </si>
  <si>
    <t>This table isolates one uncertainty: AI usage growth. Students should also consider build risk and strategic flexibility.</t>
  </si>
  <si>
    <t>Source note: All values are fictional teaching-case assumptions designed for classroom analysis. Students should treat blue/gold input cells as estimates that can be changed for scenario analysis.</t>
  </si>
  <si>
    <t>HuskyVision continues to rely primarily on vendor subscriptions, API usage, cloud tools, and external automation platforms.</t>
  </si>
  <si>
    <t>HuskyVision buys local GPU infrastructure and uses open-source AI models, with limited external API use retained for specialized tasks.</t>
  </si>
  <si>
    <t>HuskyVision uses local models for routine work, APIs for advanced reasoning, and RPA workflows to reduce avoidable token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</si>
</sst>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6">
    <font>
      <sz val="11"/>
      <name val="Carlito"/>
    </font>
    <font>
      <b/>
      <sz val="14"/>
      <color rgb="FFFFFFFF"/>
      <name val="Carlito"/>
    </font>
    <font>
      <b/>
      <sz val="11"/>
      <color rgb="FFFFFFFF"/>
      <name val="Carlito"/>
    </font>
    <font>
      <sz val="11"/>
      <color rgb="FF0000FF"/>
      <name val="Carlito"/>
    </font>
    <font>
      <i/>
      <sz val="11"/>
      <name val="Carlito"/>
    </font>
    <font>
      <b/>
      <sz val="11"/>
      <name val="Carlito"/>
    </font>
  </fonts>
  <fills count="8">
    <fill>
      <patternFill patternType="none"/>
    </fill>
    <fill>
      <patternFill patternType="gray125"/>
    </fill>
    <fill>
      <patternFill patternType="solid">
        <fgColor rgb="FF1F4E78"/>
      </patternFill>
    </fill>
    <fill>
      <patternFill patternType="solid">
        <fgColor rgb="FFFFF2CC"/>
      </patternFill>
    </fill>
    <fill>
      <patternFill patternType="solid">
        <fgColor rgb="FFF2F2F2"/>
      </patternFill>
    </fill>
    <fill>
      <patternFill patternType="solid">
        <fgColor rgb="FFD9EAF7"/>
      </patternFill>
    </fill>
    <fill>
      <patternFill patternType="solid">
        <fgColor rgb="FFE2F0D9"/>
      </patternFill>
    </fill>
    <fill>
      <patternFill patternType="solid">
        <fgColor rgb="FF7030A0"/>
        <bgColor indexed="64"/>
      </patternFill>
    </fill>
  </fills>
  <borders count="2">
    <border>
      <left/>
      <right/>
      <top/>
      <bottom/>
      <diagonal/>
    </border>
    <border>
      <left/>
      <right/>
      <top style="thin">
        <color auto="1"/>
      </top>
      <bottom/>
      <diagonal/>
    </border>
  </borders>
  <cellStyleXfs count="1">
    <xf numFmtId="0" fontId="0" fillId="0" borderId="0"/>
  </cellStyleXfs>
  <cellXfs count="22">
    <xf numFmtId="0" fontId="0" fillId="0" borderId="0" xfId="0"/>
    <xf numFmtId="0" fontId="2" fillId="2" borderId="0" xfId="0" applyFont="1" applyFill="1" applyAlignment="1">
      <alignment horizontal="center" vertical="center"/>
    </xf>
    <xf numFmtId="164" fontId="3" fillId="3" borderId="0" xfId="0" applyNumberFormat="1" applyFont="1" applyFill="1" applyAlignment="1">
      <alignment wrapText="1"/>
    </xf>
    <xf numFmtId="1" fontId="3" fillId="3" borderId="0" xfId="0" applyNumberFormat="1" applyFont="1" applyFill="1" applyAlignment="1">
      <alignment wrapText="1"/>
    </xf>
    <xf numFmtId="165" fontId="3" fillId="3" borderId="0" xfId="0" applyNumberFormat="1" applyFont="1" applyFill="1" applyAlignment="1">
      <alignment wrapText="1"/>
    </xf>
    <xf numFmtId="0" fontId="0" fillId="0" borderId="0" xfId="0" applyAlignment="1">
      <alignment wrapText="1"/>
    </xf>
    <xf numFmtId="0" fontId="5" fillId="5" borderId="1" xfId="0" applyFont="1" applyFill="1" applyBorder="1"/>
    <xf numFmtId="0" fontId="5" fillId="6" borderId="1" xfId="0" applyFont="1" applyFill="1" applyBorder="1"/>
    <xf numFmtId="165" fontId="0" fillId="0" borderId="0" xfId="0" applyNumberFormat="1"/>
    <xf numFmtId="165" fontId="5" fillId="5" borderId="1" xfId="0" applyNumberFormat="1" applyFont="1" applyFill="1" applyBorder="1"/>
    <xf numFmtId="165" fontId="5" fillId="6" borderId="1" xfId="0" applyNumberFormat="1" applyFont="1" applyFill="1" applyBorder="1"/>
    <xf numFmtId="164" fontId="0" fillId="0" borderId="0" xfId="0" applyNumberFormat="1"/>
    <xf numFmtId="0" fontId="2" fillId="7" borderId="0" xfId="0" applyFont="1" applyFill="1" applyAlignment="1">
      <alignment horizontal="center" vertical="center"/>
    </xf>
    <xf numFmtId="0" fontId="1" fillId="7" borderId="0" xfId="0" applyFont="1" applyFill="1" applyAlignment="1">
      <alignment horizontal="left"/>
    </xf>
    <xf numFmtId="0" fontId="0" fillId="7" borderId="0" xfId="0" applyFill="1"/>
    <xf numFmtId="0" fontId="1" fillId="7" borderId="0" xfId="0" applyFont="1" applyFill="1" applyAlignment="1">
      <alignment horizontal="left"/>
    </xf>
    <xf numFmtId="0" fontId="0" fillId="7" borderId="0" xfId="0" applyFill="1"/>
    <xf numFmtId="0" fontId="4" fillId="4" borderId="0" xfId="0" applyFont="1" applyFill="1" applyAlignment="1">
      <alignment wrapText="1"/>
    </xf>
    <xf numFmtId="0" fontId="0" fillId="0" borderId="0" xfId="0"/>
    <xf numFmtId="0" fontId="2" fillId="2" borderId="0" xfId="0" applyFont="1" applyFill="1" applyAlignment="1">
      <alignment horizontal="left"/>
    </xf>
    <xf numFmtId="0" fontId="0" fillId="0" borderId="0" xfId="0" applyAlignment="1">
      <alignment vertical="top"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barChart>
        <c:barDir val="col"/>
        <c:grouping val="clustered"/>
        <c:varyColors val="0"/>
        <c:ser>
          <c:idx val="0"/>
          <c:order val="0"/>
          <c:tx>
            <c:v>Year 1</c:v>
          </c:tx>
          <c:invertIfNegative val="1"/>
          <c:cat>
            <c:strRef>
              <c:f>'NPV Summary'!$A$4:$A$6</c:f>
              <c:strCache>
                <c:ptCount val="3"/>
                <c:pt idx="0">
                  <c:v>Buy</c:v>
                </c:pt>
                <c:pt idx="1">
                  <c:v>Build</c:v>
                </c:pt>
                <c:pt idx="2">
                  <c:v>Hybrid</c:v>
                </c:pt>
              </c:strCache>
            </c:strRef>
          </c:cat>
          <c:val>
            <c:numRef>
              <c:f>'NPV Summary'!$B$4:$B$6</c:f>
              <c:numCache>
                <c:formatCode>\$#,##0;[Red]\(\$#,##0\);\-</c:formatCode>
                <c:ptCount val="3"/>
                <c:pt idx="0">
                  <c:v>126000</c:v>
                </c:pt>
                <c:pt idx="1">
                  <c:v>263200</c:v>
                </c:pt>
                <c:pt idx="2">
                  <c:v>190600</c:v>
                </c:pt>
              </c:numCache>
            </c:numRef>
          </c:val>
          <c:extLst>
            <c:ext xmlns:c16="http://schemas.microsoft.com/office/drawing/2014/chart" uri="{C3380CC4-5D6E-409C-BE32-E72D297353CC}">
              <c16:uniqueId val="{00000000-FA3E-4CAB-9C98-FDF2FDD7ECAD}"/>
            </c:ext>
          </c:extLst>
        </c:ser>
        <c:ser>
          <c:idx val="1"/>
          <c:order val="1"/>
          <c:tx>
            <c:v>Year 2</c:v>
          </c:tx>
          <c:invertIfNegative val="1"/>
          <c:cat>
            <c:strRef>
              <c:f>'NPV Summary'!$A$4:$A$6</c:f>
              <c:strCache>
                <c:ptCount val="3"/>
                <c:pt idx="0">
                  <c:v>Buy</c:v>
                </c:pt>
                <c:pt idx="1">
                  <c:v>Build</c:v>
                </c:pt>
                <c:pt idx="2">
                  <c:v>Hybrid</c:v>
                </c:pt>
              </c:strCache>
            </c:strRef>
          </c:cat>
          <c:val>
            <c:numRef>
              <c:f>'NPV Summary'!$C$4:$C$6</c:f>
              <c:numCache>
                <c:formatCode>\$#,##0;[Red]\(\$#,##0\);\-</c:formatCode>
                <c:ptCount val="3"/>
                <c:pt idx="0">
                  <c:v>190500</c:v>
                </c:pt>
                <c:pt idx="1">
                  <c:v>54308</c:v>
                </c:pt>
                <c:pt idx="2">
                  <c:v>116580.00000000001</c:v>
                </c:pt>
              </c:numCache>
            </c:numRef>
          </c:val>
          <c:extLst>
            <c:ext xmlns:c16="http://schemas.microsoft.com/office/drawing/2014/chart" uri="{C3380CC4-5D6E-409C-BE32-E72D297353CC}">
              <c16:uniqueId val="{00000001-FA3E-4CAB-9C98-FDF2FDD7ECAD}"/>
            </c:ext>
          </c:extLst>
        </c:ser>
        <c:ser>
          <c:idx val="2"/>
          <c:order val="2"/>
          <c:tx>
            <c:v>Year 3</c:v>
          </c:tx>
          <c:invertIfNegative val="1"/>
          <c:cat>
            <c:strRef>
              <c:f>'NPV Summary'!$A$4:$A$6</c:f>
              <c:strCache>
                <c:ptCount val="3"/>
                <c:pt idx="0">
                  <c:v>Buy</c:v>
                </c:pt>
                <c:pt idx="1">
                  <c:v>Build</c:v>
                </c:pt>
                <c:pt idx="2">
                  <c:v>Hybrid</c:v>
                </c:pt>
              </c:strCache>
            </c:strRef>
          </c:cat>
          <c:val>
            <c:numRef>
              <c:f>'NPV Summary'!$D$4:$D$6</c:f>
              <c:numCache>
                <c:formatCode>\$#,##0;[Red]\(\$#,##0\);\-</c:formatCode>
                <c:ptCount val="3"/>
                <c:pt idx="0">
                  <c:v>329130.60000000009</c:v>
                </c:pt>
                <c:pt idx="1">
                  <c:v>212624.52</c:v>
                </c:pt>
                <c:pt idx="2">
                  <c:v>228309.32000000004</c:v>
                </c:pt>
              </c:numCache>
            </c:numRef>
          </c:val>
          <c:extLst>
            <c:ext xmlns:c16="http://schemas.microsoft.com/office/drawing/2014/chart" uri="{C3380CC4-5D6E-409C-BE32-E72D297353CC}">
              <c16:uniqueId val="{00000002-FA3E-4CAB-9C98-FDF2FDD7ECAD}"/>
            </c:ext>
          </c:extLst>
        </c:ser>
        <c:ser>
          <c:idx val="3"/>
          <c:order val="3"/>
          <c:tx>
            <c:v>Year 4</c:v>
          </c:tx>
          <c:invertIfNegative val="1"/>
          <c:cat>
            <c:strRef>
              <c:f>'NPV Summary'!$A$4:$A$6</c:f>
              <c:strCache>
                <c:ptCount val="3"/>
                <c:pt idx="0">
                  <c:v>Buy</c:v>
                </c:pt>
                <c:pt idx="1">
                  <c:v>Build</c:v>
                </c:pt>
                <c:pt idx="2">
                  <c:v>Hybrid</c:v>
                </c:pt>
              </c:strCache>
            </c:strRef>
          </c:cat>
          <c:val>
            <c:numRef>
              <c:f>'NPV Summary'!$E$4:$E$6</c:f>
              <c:numCache>
                <c:formatCode>\$#,##0;[Red]\(\$#,##0\);\-</c:formatCode>
                <c:ptCount val="3"/>
                <c:pt idx="0">
                  <c:v>633431.53800000018</c:v>
                </c:pt>
                <c:pt idx="1">
                  <c:v>72886.350800000029</c:v>
                </c:pt>
                <c:pt idx="2">
                  <c:v>310421.7852000001</c:v>
                </c:pt>
              </c:numCache>
            </c:numRef>
          </c:val>
          <c:extLst>
            <c:ext xmlns:c16="http://schemas.microsoft.com/office/drawing/2014/chart" uri="{C3380CC4-5D6E-409C-BE32-E72D297353CC}">
              <c16:uniqueId val="{00000003-FA3E-4CAB-9C98-FDF2FDD7ECAD}"/>
            </c:ext>
          </c:extLst>
        </c:ser>
        <c:dLbls>
          <c:showLegendKey val="0"/>
          <c:showVal val="0"/>
          <c:showCatName val="0"/>
          <c:showSerName val="0"/>
          <c:showPercent val="0"/>
          <c:showBubbleSize val="0"/>
        </c:dLbls>
        <c:gapWidth val="150"/>
        <c:axId val="48650112"/>
        <c:axId val="48672768"/>
      </c:barChart>
      <c:catAx>
        <c:axId val="48650112"/>
        <c:scaling>
          <c:orientation val="minMax"/>
        </c:scaling>
        <c:delete val="0"/>
        <c:axPos val="b"/>
        <c:majorGridlines>
          <c:spPr>
            <a:ln w="9525">
              <a:solidFill>
                <a:srgbClr val="CCCCCC"/>
              </a:solidFill>
              <a:prstDash val="dash"/>
            </a:ln>
          </c:spPr>
        </c:majorGridlines>
        <c:numFmt formatCode="General" sourceLinked="1"/>
        <c:majorTickMark val="none"/>
        <c:minorTickMark val="none"/>
        <c:tickLblPos val="nextTo"/>
        <c:crossAx val="48672768"/>
        <c:crosses val="autoZero"/>
        <c:auto val="1"/>
        <c:lblAlgn val="ctr"/>
        <c:lblOffset val="100"/>
        <c:noMultiLvlLbl val="0"/>
      </c:catAx>
      <c:valAx>
        <c:axId val="48672768"/>
        <c:scaling>
          <c:orientation val="minMax"/>
        </c:scaling>
        <c:delete val="0"/>
        <c:axPos val="l"/>
        <c:majorGridlines>
          <c:spPr>
            <a:ln w="9525">
              <a:solidFill>
                <a:srgbClr val="CCCCCC"/>
              </a:solidFill>
              <a:prstDash val="dash"/>
            </a:ln>
          </c:spPr>
        </c:majorGridlines>
        <c:numFmt formatCode="\$#,##0;[Red]\(\$#,##0\);\-" sourceLinked="1"/>
        <c:majorTickMark val="none"/>
        <c:minorTickMark val="none"/>
        <c:tickLblPos val="nextTo"/>
        <c:crossAx val="48650112"/>
        <c:crosses val="autoZero"/>
        <c:crossBetween val="between"/>
      </c:valAx>
    </c:plotArea>
    <c:legend>
      <c:legendPos val="b"/>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2</xdr:row>
      <xdr:rowOff>0</xdr:rowOff>
    </xdr:from>
    <xdr:to>
      <xdr:col>17</xdr:col>
      <xdr:colOff>0</xdr:colOff>
      <xdr:row>19</xdr:row>
      <xdr:rowOff>0</xdr:rowOff>
    </xdr:to>
    <xdr:graphicFrame macro="">
      <xdr:nvGraphicFramePr>
        <xdr:cNvPr id="2" name="Chart">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workbookViewId="0">
      <selection activeCell="C7" sqref="C7"/>
    </sheetView>
  </sheetViews>
  <sheetFormatPr defaultRowHeight="14.25"/>
  <cols>
    <col min="1" max="1" width="15" customWidth="1"/>
    <col min="2" max="2" width="40" customWidth="1"/>
    <col min="3" max="3" width="10.375" bestFit="1" customWidth="1"/>
    <col min="4" max="4" width="10.125" customWidth="1"/>
    <col min="5" max="5" width="10.75" customWidth="1"/>
    <col min="6" max="6" width="42" customWidth="1"/>
  </cols>
  <sheetData>
    <row r="1" spans="1:6" ht="18">
      <c r="A1" s="15" t="s">
        <v>0</v>
      </c>
      <c r="B1" s="16"/>
      <c r="C1" s="16"/>
      <c r="D1" s="16"/>
      <c r="E1" s="16"/>
      <c r="F1" s="16"/>
    </row>
    <row r="3" spans="1:6" ht="15">
      <c r="A3" s="12" t="s">
        <v>1</v>
      </c>
      <c r="B3" s="12" t="s">
        <v>2</v>
      </c>
      <c r="C3" s="12" t="s">
        <v>3</v>
      </c>
      <c r="D3" s="12" t="s">
        <v>4</v>
      </c>
      <c r="E3" s="12" t="s">
        <v>5</v>
      </c>
      <c r="F3" s="12" t="s">
        <v>6</v>
      </c>
    </row>
    <row r="4" spans="1:6">
      <c r="A4" t="s">
        <v>7</v>
      </c>
      <c r="B4" t="s">
        <v>8</v>
      </c>
      <c r="C4" s="2">
        <v>0.1</v>
      </c>
      <c r="D4" s="2">
        <v>0.08</v>
      </c>
      <c r="E4" s="2">
        <v>0.12</v>
      </c>
      <c r="F4" s="5" t="s">
        <v>9</v>
      </c>
    </row>
    <row r="5" spans="1:6">
      <c r="A5" t="s">
        <v>7</v>
      </c>
      <c r="B5" t="s">
        <v>10</v>
      </c>
      <c r="C5" s="3">
        <v>4</v>
      </c>
      <c r="D5" s="3">
        <v>4</v>
      </c>
      <c r="E5" s="3">
        <v>4</v>
      </c>
      <c r="F5" s="5" t="s">
        <v>11</v>
      </c>
    </row>
    <row r="6" spans="1:6">
      <c r="A6" t="s">
        <v>12</v>
      </c>
      <c r="B6" t="s">
        <v>13</v>
      </c>
      <c r="C6" s="2">
        <v>1</v>
      </c>
      <c r="D6" s="2">
        <v>0.25</v>
      </c>
      <c r="E6" s="2">
        <v>0.65</v>
      </c>
      <c r="F6" s="5" t="s">
        <v>14</v>
      </c>
    </row>
    <row r="7" spans="1:6">
      <c r="A7" t="s">
        <v>15</v>
      </c>
      <c r="B7" t="s">
        <v>16</v>
      </c>
      <c r="C7" s="2">
        <v>7.0000000000000007E-2</v>
      </c>
      <c r="D7" s="2">
        <v>0.04</v>
      </c>
      <c r="E7" s="2">
        <v>0.1</v>
      </c>
      <c r="F7" s="5" t="s">
        <v>17</v>
      </c>
    </row>
    <row r="8" spans="1:6">
      <c r="A8" t="s">
        <v>15</v>
      </c>
      <c r="B8" t="s">
        <v>18</v>
      </c>
      <c r="C8" s="2">
        <v>0.12</v>
      </c>
      <c r="D8" s="2">
        <v>-0.05</v>
      </c>
      <c r="E8" s="2">
        <v>0.2</v>
      </c>
      <c r="F8" s="5" t="s">
        <v>19</v>
      </c>
    </row>
    <row r="9" spans="1:6">
      <c r="A9" t="s">
        <v>15</v>
      </c>
      <c r="B9" t="s">
        <v>20</v>
      </c>
      <c r="C9" s="2">
        <v>0.05</v>
      </c>
      <c r="D9" s="2">
        <v>0.03</v>
      </c>
      <c r="E9" s="2">
        <v>0.08</v>
      </c>
      <c r="F9" s="5" t="s">
        <v>21</v>
      </c>
    </row>
    <row r="10" spans="1:6">
      <c r="A10" t="s">
        <v>15</v>
      </c>
      <c r="B10" t="s">
        <v>22</v>
      </c>
      <c r="C10" s="2">
        <v>0.08</v>
      </c>
      <c r="D10" s="2">
        <v>0.04</v>
      </c>
      <c r="E10" s="2">
        <v>0.12</v>
      </c>
      <c r="F10" s="5" t="s">
        <v>23</v>
      </c>
    </row>
    <row r="11" spans="1:6">
      <c r="A11" t="s">
        <v>15</v>
      </c>
      <c r="B11" t="s">
        <v>24</v>
      </c>
      <c r="C11" s="2">
        <v>0.06</v>
      </c>
      <c r="D11" s="2">
        <v>0.03</v>
      </c>
      <c r="E11" s="2">
        <v>0.1</v>
      </c>
      <c r="F11" s="5" t="s">
        <v>25</v>
      </c>
    </row>
    <row r="12" spans="1:6">
      <c r="A12" t="s">
        <v>26</v>
      </c>
      <c r="B12" t="s">
        <v>27</v>
      </c>
      <c r="C12" s="4">
        <v>170000</v>
      </c>
      <c r="D12" s="4">
        <v>120000</v>
      </c>
      <c r="E12" s="4">
        <v>180000</v>
      </c>
      <c r="F12" s="5" t="s">
        <v>28</v>
      </c>
    </row>
    <row r="13" spans="1:6">
      <c r="A13" t="s">
        <v>26</v>
      </c>
      <c r="B13" t="s">
        <v>29</v>
      </c>
      <c r="C13" s="4">
        <v>30000</v>
      </c>
      <c r="D13" s="4">
        <v>18000</v>
      </c>
      <c r="E13" s="4">
        <v>35000</v>
      </c>
      <c r="F13" s="5" t="s">
        <v>30</v>
      </c>
    </row>
    <row r="14" spans="1:6">
      <c r="A14" t="s">
        <v>26</v>
      </c>
      <c r="B14" t="s">
        <v>31</v>
      </c>
      <c r="C14" s="4">
        <v>20000</v>
      </c>
      <c r="D14" s="4">
        <v>10000</v>
      </c>
      <c r="E14" s="4">
        <v>25000</v>
      </c>
      <c r="F14" s="5" t="s">
        <v>32</v>
      </c>
    </row>
    <row r="15" spans="1:6">
      <c r="A15" t="s">
        <v>26</v>
      </c>
      <c r="B15" t="s">
        <v>33</v>
      </c>
      <c r="C15" s="4">
        <v>18000</v>
      </c>
      <c r="D15" s="4">
        <v>9000</v>
      </c>
      <c r="E15" s="4">
        <v>18000</v>
      </c>
      <c r="F15" s="5" t="s">
        <v>34</v>
      </c>
    </row>
    <row r="16" spans="1:6">
      <c r="A16" t="s">
        <v>26</v>
      </c>
      <c r="B16" t="s">
        <v>35</v>
      </c>
      <c r="C16" s="2">
        <v>0.05</v>
      </c>
      <c r="D16" s="2">
        <v>0.02</v>
      </c>
      <c r="E16" s="2">
        <v>0.1</v>
      </c>
      <c r="F16" s="5" t="s">
        <v>36</v>
      </c>
    </row>
    <row r="17" spans="1:6">
      <c r="A17" t="s">
        <v>26</v>
      </c>
      <c r="B17" t="s">
        <v>37</v>
      </c>
      <c r="C17" s="2">
        <v>0.08</v>
      </c>
      <c r="D17" s="2">
        <v>0.04</v>
      </c>
      <c r="E17" s="2">
        <v>0.15</v>
      </c>
      <c r="F17" s="5" t="s">
        <v>38</v>
      </c>
    </row>
    <row r="18" spans="1:6">
      <c r="A18" t="s">
        <v>26</v>
      </c>
      <c r="B18" t="s">
        <v>39</v>
      </c>
      <c r="C18" s="2">
        <v>0.06</v>
      </c>
      <c r="D18" s="2">
        <v>0.03</v>
      </c>
      <c r="E18" s="2">
        <v>0.12</v>
      </c>
      <c r="F18" s="5" t="s">
        <v>40</v>
      </c>
    </row>
    <row r="19" spans="1:6">
      <c r="A19" t="s">
        <v>26</v>
      </c>
      <c r="B19" t="s">
        <v>41</v>
      </c>
      <c r="C19" s="3">
        <v>3</v>
      </c>
      <c r="D19" s="3">
        <v>3</v>
      </c>
      <c r="E19" s="3">
        <v>3</v>
      </c>
      <c r="F19" s="5" t="s">
        <v>42</v>
      </c>
    </row>
    <row r="20" spans="1:6">
      <c r="A20" t="s">
        <v>26</v>
      </c>
      <c r="B20" t="s">
        <v>43</v>
      </c>
      <c r="C20" s="2">
        <v>0.8</v>
      </c>
      <c r="D20" s="2">
        <v>0.4</v>
      </c>
      <c r="E20" s="2">
        <v>1.1000000000000001</v>
      </c>
      <c r="F20" s="5" t="s">
        <v>44</v>
      </c>
    </row>
    <row r="21" spans="1:6">
      <c r="A21" t="s">
        <v>26</v>
      </c>
      <c r="B21" t="s">
        <v>45</v>
      </c>
      <c r="C21" s="2">
        <v>0.15</v>
      </c>
      <c r="D21" s="2">
        <v>0.1</v>
      </c>
      <c r="E21" s="2">
        <v>0.3</v>
      </c>
      <c r="F21" s="5" t="s">
        <v>46</v>
      </c>
    </row>
    <row r="22" spans="1:6" ht="28.5">
      <c r="A22" t="s">
        <v>26</v>
      </c>
      <c r="B22" t="s">
        <v>47</v>
      </c>
      <c r="C22" s="2">
        <v>0.15</v>
      </c>
      <c r="D22" s="2">
        <v>0.05</v>
      </c>
      <c r="E22" s="2">
        <v>0.2</v>
      </c>
      <c r="F22" s="5" t="s">
        <v>48</v>
      </c>
    </row>
    <row r="23" spans="1:6" ht="28.5">
      <c r="A23" t="s">
        <v>26</v>
      </c>
      <c r="B23" t="s">
        <v>49</v>
      </c>
      <c r="C23" s="2">
        <v>0.05</v>
      </c>
      <c r="D23" s="2">
        <v>0.05</v>
      </c>
      <c r="E23" s="2">
        <v>0.25</v>
      </c>
      <c r="F23" s="5" t="s">
        <v>50</v>
      </c>
    </row>
    <row r="24" spans="1:6">
      <c r="A24" t="s">
        <v>51</v>
      </c>
      <c r="B24" t="s">
        <v>52</v>
      </c>
      <c r="C24" s="4">
        <v>85000</v>
      </c>
      <c r="D24" s="4">
        <v>60000</v>
      </c>
      <c r="E24" s="4">
        <v>110000</v>
      </c>
      <c r="F24" s="5" t="s">
        <v>53</v>
      </c>
    </row>
    <row r="25" spans="1:6">
      <c r="A25" t="s">
        <v>51</v>
      </c>
      <c r="B25" t="s">
        <v>54</v>
      </c>
      <c r="C25" s="4">
        <v>22000</v>
      </c>
      <c r="D25" s="4">
        <v>12000</v>
      </c>
      <c r="E25" s="4">
        <v>28000</v>
      </c>
      <c r="F25" s="5" t="s">
        <v>55</v>
      </c>
    </row>
    <row r="26" spans="1:6" ht="28.5">
      <c r="A26" t="s">
        <v>51</v>
      </c>
      <c r="B26" t="s">
        <v>56</v>
      </c>
      <c r="C26" s="2">
        <v>0.25</v>
      </c>
      <c r="D26" s="2">
        <v>0.15</v>
      </c>
      <c r="E26" s="2">
        <v>0.45</v>
      </c>
      <c r="F26" s="5" t="s">
        <v>57</v>
      </c>
    </row>
    <row r="27" spans="1:6" ht="28.5">
      <c r="A27" t="s">
        <v>51</v>
      </c>
      <c r="B27" t="s">
        <v>58</v>
      </c>
      <c r="C27" s="2">
        <v>0.65</v>
      </c>
      <c r="D27" s="2">
        <v>0.45</v>
      </c>
      <c r="E27" s="2">
        <v>0.75</v>
      </c>
      <c r="F27" s="5" t="s">
        <v>59</v>
      </c>
    </row>
    <row r="28" spans="1:6">
      <c r="A28" t="s">
        <v>51</v>
      </c>
      <c r="B28" t="s">
        <v>60</v>
      </c>
      <c r="C28" s="2">
        <v>0.7</v>
      </c>
      <c r="D28" s="2">
        <v>0.5</v>
      </c>
      <c r="E28" s="2">
        <v>0.85</v>
      </c>
      <c r="F28" s="5" t="s">
        <v>61</v>
      </c>
    </row>
    <row r="29" spans="1:6">
      <c r="A29" t="s">
        <v>51</v>
      </c>
      <c r="B29" t="s">
        <v>62</v>
      </c>
      <c r="C29" s="4">
        <v>20000</v>
      </c>
      <c r="D29" s="4">
        <v>15000</v>
      </c>
      <c r="E29" s="4">
        <v>30000</v>
      </c>
      <c r="F29" s="5" t="s">
        <v>63</v>
      </c>
    </row>
    <row r="30" spans="1:6">
      <c r="A30" t="s">
        <v>51</v>
      </c>
      <c r="B30" t="s">
        <v>64</v>
      </c>
      <c r="C30" s="4">
        <v>15000</v>
      </c>
      <c r="D30" s="4">
        <v>9000</v>
      </c>
      <c r="E30" s="4">
        <v>18000</v>
      </c>
      <c r="F30" s="5" t="s">
        <v>65</v>
      </c>
    </row>
    <row r="31" spans="1:6">
      <c r="A31" t="s">
        <v>51</v>
      </c>
      <c r="B31" t="s">
        <v>66</v>
      </c>
      <c r="C31" s="2">
        <v>0.5</v>
      </c>
      <c r="D31" s="2">
        <v>0.2</v>
      </c>
      <c r="E31" s="2">
        <v>0.7</v>
      </c>
      <c r="F31" s="5" t="s">
        <v>67</v>
      </c>
    </row>
    <row r="32" spans="1:6">
      <c r="A32" t="s">
        <v>68</v>
      </c>
      <c r="B32" t="s">
        <v>69</v>
      </c>
      <c r="C32" s="4">
        <v>36000</v>
      </c>
      <c r="D32" s="4">
        <v>30000</v>
      </c>
      <c r="E32" s="4">
        <v>45000</v>
      </c>
      <c r="F32" s="5" t="s">
        <v>70</v>
      </c>
    </row>
    <row r="33" spans="1:6">
      <c r="A33" t="s">
        <v>68</v>
      </c>
      <c r="B33" t="s">
        <v>71</v>
      </c>
      <c r="C33" s="4">
        <v>48000</v>
      </c>
      <c r="D33" s="4">
        <v>36000</v>
      </c>
      <c r="E33" s="4">
        <v>70000</v>
      </c>
      <c r="F33" s="5" t="s">
        <v>72</v>
      </c>
    </row>
    <row r="34" spans="1:6">
      <c r="A34" t="s">
        <v>68</v>
      </c>
      <c r="B34" t="s">
        <v>73</v>
      </c>
      <c r="C34" s="4">
        <v>22000</v>
      </c>
      <c r="D34" s="4">
        <v>18000</v>
      </c>
      <c r="E34" s="4">
        <v>30000</v>
      </c>
      <c r="F34" s="5" t="s">
        <v>74</v>
      </c>
    </row>
    <row r="35" spans="1:6">
      <c r="A35" t="s">
        <v>68</v>
      </c>
      <c r="B35" t="s">
        <v>75</v>
      </c>
      <c r="C35" s="4">
        <v>8000</v>
      </c>
      <c r="D35" s="4">
        <v>6000</v>
      </c>
      <c r="E35" s="4">
        <v>12000</v>
      </c>
      <c r="F35" s="5" t="s">
        <v>76</v>
      </c>
    </row>
    <row r="36" spans="1:6">
      <c r="A36" t="s">
        <v>68</v>
      </c>
      <c r="B36" t="s">
        <v>77</v>
      </c>
      <c r="C36" s="4">
        <v>12000</v>
      </c>
      <c r="D36" s="4">
        <v>9000</v>
      </c>
      <c r="E36" s="4">
        <v>18000</v>
      </c>
      <c r="F36" s="5" t="s">
        <v>78</v>
      </c>
    </row>
    <row r="39" spans="1:6">
      <c r="A39" s="17" t="s">
        <v>119</v>
      </c>
      <c r="B39" s="18"/>
      <c r="C39" s="18"/>
      <c r="D39" s="18"/>
      <c r="E39" s="18"/>
      <c r="F39" s="18"/>
    </row>
  </sheetData>
  <mergeCells count="2">
    <mergeCell ref="A1:F1"/>
    <mergeCell ref="A39:F3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workbookViewId="0">
      <selection activeCell="E8" sqref="E8"/>
    </sheetView>
  </sheetViews>
  <sheetFormatPr defaultRowHeight="14.25"/>
  <cols>
    <col min="1" max="1" width="34" customWidth="1"/>
    <col min="2" max="2" width="15.75" customWidth="1"/>
    <col min="3" max="3" width="15.5" customWidth="1"/>
    <col min="4" max="4" width="11.625" customWidth="1"/>
    <col min="5" max="5" width="10.375" customWidth="1"/>
  </cols>
  <sheetData>
    <row r="1" spans="1:6" ht="18">
      <c r="A1" s="15" t="s">
        <v>79</v>
      </c>
      <c r="B1" s="16"/>
      <c r="C1" s="16"/>
      <c r="D1" s="16"/>
      <c r="E1" s="16"/>
      <c r="F1" s="16"/>
    </row>
    <row r="2" spans="1:6">
      <c r="A2" s="17" t="s">
        <v>120</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69</v>
      </c>
      <c r="B7" s="8">
        <f>Assumptions!$C$32</f>
        <v>36000</v>
      </c>
      <c r="C7" s="8">
        <f>B7*(1+Assumptions!$C$7)</f>
        <v>38520</v>
      </c>
      <c r="D7" s="8">
        <f>C7*(1+Assumptions!$C$7)</f>
        <v>41216.400000000001</v>
      </c>
      <c r="E7" s="8">
        <f>D7*(1+Assumptions!$C$7)</f>
        <v>44101.548000000003</v>
      </c>
    </row>
    <row r="8" spans="1:6">
      <c r="A8" t="s">
        <v>71</v>
      </c>
      <c r="B8" s="8">
        <f>Assumptions!$C$33</f>
        <v>48000</v>
      </c>
      <c r="C8" s="8">
        <f>B8*(1+Assumptions!$C$6)*(1+Assumptions!$C$8)</f>
        <v>107520.00000000001</v>
      </c>
      <c r="D8" s="8">
        <f>C8*(1+Assumptions!$C$6)*(1+Assumptions!$C$8)</f>
        <v>240844.80000000005</v>
      </c>
      <c r="E8" s="8">
        <f>D8*(1+Assumptions!$C$6)*(1+Assumptions!$C$8)</f>
        <v>539492.35200000019</v>
      </c>
    </row>
    <row r="9" spans="1:6">
      <c r="A9" t="s">
        <v>73</v>
      </c>
      <c r="B9" s="8">
        <f>Assumptions!$C$34</f>
        <v>22000</v>
      </c>
      <c r="C9" s="8">
        <f>B9*(1+Assumptions!$C$9)</f>
        <v>23100</v>
      </c>
      <c r="D9" s="8">
        <f>C9*(1+Assumptions!$C$9)</f>
        <v>24255</v>
      </c>
      <c r="E9" s="8">
        <f>D9*(1+Assumptions!$C$9)</f>
        <v>25467.75</v>
      </c>
    </row>
    <row r="10" spans="1:6">
      <c r="A10" t="s">
        <v>75</v>
      </c>
      <c r="B10" s="8">
        <f>Assumptions!$C$35</f>
        <v>8000</v>
      </c>
      <c r="C10" s="8">
        <f>B10*(1+Assumptions!$C$10)</f>
        <v>8640</v>
      </c>
      <c r="D10" s="8">
        <f>C10*(1+Assumptions!$C$10)</f>
        <v>9331.2000000000007</v>
      </c>
      <c r="E10" s="8">
        <f>D10*(1+Assumptions!$C$10)</f>
        <v>10077.696000000002</v>
      </c>
    </row>
    <row r="11" spans="1:6">
      <c r="A11" t="s">
        <v>77</v>
      </c>
      <c r="B11" s="8">
        <f>Assumptions!$C$36</f>
        <v>12000</v>
      </c>
      <c r="C11" s="8">
        <f>B11*(1+Assumptions!$C$11)</f>
        <v>12720</v>
      </c>
      <c r="D11" s="8">
        <f>C11*(1+Assumptions!$C$11)</f>
        <v>13483.2</v>
      </c>
      <c r="E11" s="8">
        <f>D11*(1+Assumptions!$C$11)</f>
        <v>14292.192000000001</v>
      </c>
    </row>
    <row r="12" spans="1:6" ht="15">
      <c r="A12" s="6" t="s">
        <v>86</v>
      </c>
      <c r="B12" s="9">
        <f>SUM(B7:B11)</f>
        <v>126000</v>
      </c>
      <c r="C12" s="9">
        <f>SUM(C7:C11)</f>
        <v>190500</v>
      </c>
      <c r="D12" s="9">
        <f>SUM(D7:D11)</f>
        <v>329130.60000000009</v>
      </c>
      <c r="E12" s="9">
        <f>SUM(E7:E11)</f>
        <v>633431.53800000018</v>
      </c>
    </row>
    <row r="13" spans="1:6">
      <c r="A13" t="s">
        <v>87</v>
      </c>
      <c r="B13" s="8">
        <f>B12/(1+Assumptions!$C$4)^B$5</f>
        <v>114545.45454545453</v>
      </c>
      <c r="C13" s="8">
        <f>C12/(1+Assumptions!$C$4)^C$5</f>
        <v>157438.0165289256</v>
      </c>
      <c r="D13" s="8">
        <f>D12/(1+Assumptions!$C$4)^D$5</f>
        <v>247280.69120961684</v>
      </c>
      <c r="E13" s="8">
        <f>E12/(1+Assumptions!$C$4)^E$5</f>
        <v>432642.26350659109</v>
      </c>
    </row>
    <row r="14" spans="1:6" ht="15">
      <c r="A14" s="7" t="s">
        <v>88</v>
      </c>
      <c r="B14" s="10">
        <f>SUM(B13:E13)</f>
        <v>951906.42579058802</v>
      </c>
      <c r="C14" s="10"/>
      <c r="D14" s="10"/>
      <c r="E14" s="10"/>
    </row>
  </sheetData>
  <mergeCells count="2">
    <mergeCell ref="A1:F1"/>
    <mergeCell ref="A2:F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
  <sheetViews>
    <sheetView tabSelected="1" workbookViewId="0">
      <selection activeCell="B17" sqref="B17"/>
    </sheetView>
  </sheetViews>
  <sheetFormatPr defaultRowHeight="14.25"/>
  <cols>
    <col min="1" max="1" width="36" customWidth="1"/>
    <col min="2" max="2" width="14.625" customWidth="1"/>
    <col min="3" max="5" width="13.75" customWidth="1"/>
  </cols>
  <sheetData>
    <row r="1" spans="1:6" ht="18">
      <c r="A1" s="15" t="s">
        <v>89</v>
      </c>
      <c r="B1" s="16"/>
      <c r="C1" s="16"/>
      <c r="D1" s="16"/>
      <c r="E1" s="16"/>
      <c r="F1" s="16"/>
    </row>
    <row r="2" spans="1:6">
      <c r="A2" s="17" t="s">
        <v>121</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27</v>
      </c>
      <c r="B7" s="8">
        <f>Assumptions!$C$12</f>
        <v>170000</v>
      </c>
      <c r="C7" s="8">
        <f>0</f>
        <v>0</v>
      </c>
      <c r="D7" s="8">
        <f>IF(D$5=Assumptions!$C$19,Assumptions!$C$12*Assumptions!$C$20,0)</f>
        <v>136000</v>
      </c>
      <c r="E7" s="8">
        <f>0</f>
        <v>0</v>
      </c>
    </row>
    <row r="8" spans="1:6">
      <c r="A8" t="s">
        <v>29</v>
      </c>
      <c r="B8" s="8">
        <f>Assumptions!$C$13</f>
        <v>30000</v>
      </c>
      <c r="C8" s="8">
        <f>0</f>
        <v>0</v>
      </c>
      <c r="D8" s="8">
        <f>0</f>
        <v>0</v>
      </c>
      <c r="E8" s="8">
        <f>0</f>
        <v>0</v>
      </c>
    </row>
    <row r="9" spans="1:6">
      <c r="A9" t="s">
        <v>31</v>
      </c>
      <c r="B9" s="8">
        <f>Assumptions!$C$14</f>
        <v>20000</v>
      </c>
      <c r="C9" s="8">
        <f>0</f>
        <v>0</v>
      </c>
      <c r="D9" s="8">
        <f>0</f>
        <v>0</v>
      </c>
      <c r="E9" s="8">
        <f>0</f>
        <v>0</v>
      </c>
    </row>
    <row r="10" spans="1:6">
      <c r="A10" t="s">
        <v>33</v>
      </c>
      <c r="B10" s="8">
        <f>Assumptions!$C$15</f>
        <v>18000</v>
      </c>
      <c r="C10" s="8">
        <f>B10*(1+Assumptions!$C$16)</f>
        <v>18900</v>
      </c>
      <c r="D10" s="8">
        <f>C10*(1+Assumptions!$C$16)</f>
        <v>19845</v>
      </c>
      <c r="E10" s="8">
        <f>D10*(1+Assumptions!$C$16)</f>
        <v>20837.25</v>
      </c>
    </row>
    <row r="11" spans="1:6">
      <c r="A11" t="s">
        <v>90</v>
      </c>
      <c r="B11" s="8">
        <f>10000</f>
        <v>10000</v>
      </c>
      <c r="C11" s="8">
        <f>B11*(1+Assumptions!$C$17)</f>
        <v>10800</v>
      </c>
      <c r="D11" s="8">
        <f>C11*(1+Assumptions!$C$17)</f>
        <v>11664</v>
      </c>
      <c r="E11" s="8">
        <f>D11*(1+Assumptions!$C$17)</f>
        <v>12597.12</v>
      </c>
    </row>
    <row r="12" spans="1:6">
      <c r="A12" t="s">
        <v>91</v>
      </c>
      <c r="B12" s="8">
        <f>8000</f>
        <v>8000</v>
      </c>
      <c r="C12" s="8">
        <f>B12*(1+Assumptions!$C$18)</f>
        <v>8480</v>
      </c>
      <c r="D12" s="8">
        <f>C12*(1+Assumptions!$C$18)</f>
        <v>8988.8000000000011</v>
      </c>
      <c r="E12" s="8">
        <f>D12*(1+Assumptions!$C$18)</f>
        <v>9528.1280000000024</v>
      </c>
    </row>
    <row r="13" spans="1:6">
      <c r="A13" t="s">
        <v>92</v>
      </c>
      <c r="B13" s="8">
        <f>'Buy Strategy'!B8*Assumptions!$C$22</f>
        <v>7200</v>
      </c>
      <c r="C13" s="8">
        <f>'Buy Strategy'!C8*Assumptions!$C$22</f>
        <v>16128.000000000002</v>
      </c>
      <c r="D13" s="8">
        <f>'Buy Strategy'!D8*Assumptions!$C$22</f>
        <v>36126.720000000008</v>
      </c>
      <c r="E13" s="8">
        <f>'Buy Strategy'!E8*Assumptions!$C$22</f>
        <v>80923.852800000022</v>
      </c>
    </row>
    <row r="14" spans="1:6">
      <c r="A14" t="s">
        <v>45</v>
      </c>
      <c r="B14" s="8">
        <f>0</f>
        <v>0</v>
      </c>
      <c r="C14" s="8">
        <f>0</f>
        <v>0</v>
      </c>
      <c r="D14" s="8">
        <f>0</f>
        <v>0</v>
      </c>
      <c r="E14" s="8">
        <f>-(Assumptions!$C$12+MAX(B7:E7))*Assumptions!$C$21</f>
        <v>-51000</v>
      </c>
    </row>
    <row r="15" spans="1:6" ht="15">
      <c r="A15" s="6" t="s">
        <v>86</v>
      </c>
      <c r="B15" s="9">
        <f>SUM(B7:B14)</f>
        <v>263200</v>
      </c>
      <c r="C15" s="9">
        <f>SUM(C7:C14)</f>
        <v>54308</v>
      </c>
      <c r="D15" s="9">
        <f>SUM(D7:D14)</f>
        <v>212624.52</v>
      </c>
      <c r="E15" s="9">
        <f>SUM(E7:E14)</f>
        <v>72886.350800000029</v>
      </c>
    </row>
    <row r="16" spans="1:6">
      <c r="A16" t="s">
        <v>87</v>
      </c>
      <c r="B16" s="8">
        <f>B15/(1+Assumptions!$C$4)^B$5</f>
        <v>239272.72727272726</v>
      </c>
      <c r="C16" s="8">
        <f>C15/(1+Assumptions!$C$4)^C$5</f>
        <v>44882.644628099166</v>
      </c>
      <c r="D16" s="8">
        <f>D15/(1+Assumptions!$C$4)^D$5</f>
        <v>159747.94891059349</v>
      </c>
      <c r="E16" s="8">
        <f>E15/(1+Assumptions!$C$4)^E$5</f>
        <v>49782.358308858689</v>
      </c>
    </row>
    <row r="17" spans="1:5" ht="15">
      <c r="A17" s="7" t="s">
        <v>88</v>
      </c>
      <c r="B17" s="10">
        <f>SUM(B16:E16)</f>
        <v>493685.67912027868</v>
      </c>
      <c r="C17" s="10"/>
      <c r="D17" s="10"/>
      <c r="E17" s="10"/>
    </row>
  </sheetData>
  <mergeCells count="2">
    <mergeCell ref="A1:F1"/>
    <mergeCell ref="A2:F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workbookViewId="0">
      <selection activeCell="H12" sqref="H12"/>
    </sheetView>
  </sheetViews>
  <sheetFormatPr defaultRowHeight="14.25"/>
  <cols>
    <col min="1" max="1" width="36" customWidth="1"/>
    <col min="2" max="2" width="12.5" customWidth="1"/>
    <col min="3" max="5" width="10.875" customWidth="1"/>
  </cols>
  <sheetData>
    <row r="1" spans="1:6" ht="18">
      <c r="A1" s="15" t="s">
        <v>93</v>
      </c>
      <c r="B1" s="16"/>
      <c r="C1" s="16"/>
      <c r="D1" s="16"/>
      <c r="E1" s="16"/>
      <c r="F1" s="16"/>
    </row>
    <row r="2" spans="1:6">
      <c r="A2" s="17" t="s">
        <v>122</v>
      </c>
      <c r="B2" s="18"/>
      <c r="C2" s="18"/>
      <c r="D2" s="18"/>
      <c r="E2" s="18"/>
      <c r="F2" s="18"/>
    </row>
    <row r="4" spans="1:6" ht="15">
      <c r="A4" s="1"/>
      <c r="B4" s="1" t="s">
        <v>80</v>
      </c>
      <c r="C4" s="1" t="s">
        <v>81</v>
      </c>
      <c r="D4" s="1" t="s">
        <v>82</v>
      </c>
      <c r="E4" s="1" t="s">
        <v>83</v>
      </c>
    </row>
    <row r="5" spans="1:6" ht="15">
      <c r="A5" s="1" t="s">
        <v>84</v>
      </c>
      <c r="B5" s="1">
        <v>1</v>
      </c>
      <c r="C5" s="1">
        <v>2</v>
      </c>
      <c r="D5" s="1">
        <v>3</v>
      </c>
      <c r="E5" s="1">
        <v>4</v>
      </c>
    </row>
    <row r="6" spans="1:6" ht="15">
      <c r="A6" s="1" t="s">
        <v>85</v>
      </c>
      <c r="B6" s="1" t="s">
        <v>80</v>
      </c>
      <c r="C6" s="1" t="s">
        <v>81</v>
      </c>
      <c r="D6" s="1" t="s">
        <v>82</v>
      </c>
      <c r="E6" s="1" t="s">
        <v>83</v>
      </c>
    </row>
    <row r="7" spans="1:6">
      <c r="A7" t="s">
        <v>52</v>
      </c>
      <c r="B7" s="8">
        <f>Assumptions!$C$24</f>
        <v>85000</v>
      </c>
      <c r="C7" s="8">
        <f>0</f>
        <v>0</v>
      </c>
      <c r="D7" s="8">
        <f>IF(D$5=Assumptions!$C$19,Assumptions!$C$24*Assumptions!$C$31,0)</f>
        <v>42500</v>
      </c>
      <c r="E7" s="8">
        <f>0</f>
        <v>0</v>
      </c>
    </row>
    <row r="8" spans="1:6">
      <c r="A8" t="s">
        <v>94</v>
      </c>
      <c r="B8" s="8">
        <f>Assumptions!$C$25</f>
        <v>22000</v>
      </c>
      <c r="C8" s="8">
        <f>0</f>
        <v>0</v>
      </c>
      <c r="D8" s="8">
        <f>0</f>
        <v>0</v>
      </c>
      <c r="E8" s="8">
        <f>0</f>
        <v>0</v>
      </c>
    </row>
    <row r="9" spans="1:6">
      <c r="A9" t="s">
        <v>95</v>
      </c>
      <c r="B9" s="8">
        <f>'Buy Strategy'!B8*Assumptions!$C$27*(1-Assumptions!$C$26)</f>
        <v>23400</v>
      </c>
      <c r="C9" s="8">
        <f>'Buy Strategy'!C8*Assumptions!$C$27*(1-Assumptions!$C$26)</f>
        <v>52416.000000000015</v>
      </c>
      <c r="D9" s="8">
        <f>'Buy Strategy'!D8*Assumptions!$C$27*(1-Assumptions!$C$26)</f>
        <v>117411.84000000003</v>
      </c>
      <c r="E9" s="8">
        <f>'Buy Strategy'!E8*Assumptions!$C$27*(1-Assumptions!$C$26)</f>
        <v>263002.52160000009</v>
      </c>
    </row>
    <row r="10" spans="1:6">
      <c r="A10" t="s">
        <v>96</v>
      </c>
      <c r="B10" s="8">
        <f>'Buy Strategy'!B7*Assumptions!$C$28</f>
        <v>25200</v>
      </c>
      <c r="C10" s="8">
        <f>'Buy Strategy'!C7*Assumptions!$C$28</f>
        <v>26964</v>
      </c>
      <c r="D10" s="8">
        <f>'Buy Strategy'!D7*Assumptions!$C$28</f>
        <v>28851.48</v>
      </c>
      <c r="E10" s="8">
        <f>'Buy Strategy'!E7*Assumptions!$C$28</f>
        <v>30871.083599999998</v>
      </c>
    </row>
    <row r="11" spans="1:6">
      <c r="A11" t="s">
        <v>97</v>
      </c>
      <c r="B11" s="8">
        <f>Assumptions!$C$29</f>
        <v>20000</v>
      </c>
      <c r="C11" s="8">
        <f>B11*(1+Assumptions!$C$9)</f>
        <v>21000</v>
      </c>
      <c r="D11" s="8">
        <f>C11*(1+Assumptions!$C$9)</f>
        <v>22050</v>
      </c>
      <c r="E11" s="8">
        <f>D11*(1+Assumptions!$C$9)</f>
        <v>23152.5</v>
      </c>
    </row>
    <row r="12" spans="1:6">
      <c r="A12" t="s">
        <v>98</v>
      </c>
      <c r="B12" s="8">
        <f>Assumptions!$C$30</f>
        <v>15000</v>
      </c>
      <c r="C12" s="8">
        <f>B12*(1+Assumptions!$C$17)</f>
        <v>16200.000000000002</v>
      </c>
      <c r="D12" s="8">
        <f>C12*(1+Assumptions!$C$17)</f>
        <v>17496.000000000004</v>
      </c>
      <c r="E12" s="8">
        <f>D12*(1+Assumptions!$C$17)</f>
        <v>18895.680000000004</v>
      </c>
    </row>
    <row r="13" spans="1:6">
      <c r="A13" t="s">
        <v>45</v>
      </c>
      <c r="B13" s="8">
        <f>0</f>
        <v>0</v>
      </c>
      <c r="C13" s="8">
        <f>0</f>
        <v>0</v>
      </c>
      <c r="D13" s="8">
        <f>0</f>
        <v>0</v>
      </c>
      <c r="E13" s="8">
        <f>-(Assumptions!$C$24+MAX(B7:E7))*Assumptions!$C$21</f>
        <v>-25500</v>
      </c>
    </row>
    <row r="14" spans="1:6" ht="15">
      <c r="A14" s="6" t="s">
        <v>86</v>
      </c>
      <c r="B14" s="9">
        <f>SUM(B7:B13)</f>
        <v>190600</v>
      </c>
      <c r="C14" s="9">
        <f>SUM(C7:C13)</f>
        <v>116580.00000000001</v>
      </c>
      <c r="D14" s="9">
        <f>SUM(D7:D13)</f>
        <v>228309.32000000004</v>
      </c>
      <c r="E14" s="9">
        <f>SUM(E7:E13)</f>
        <v>310421.7852000001</v>
      </c>
    </row>
    <row r="15" spans="1:6">
      <c r="A15" t="s">
        <v>87</v>
      </c>
      <c r="B15" s="8">
        <f>B14/(1+Assumptions!$C$4)^B$5</f>
        <v>173272.72727272726</v>
      </c>
      <c r="C15" s="8">
        <f>C14/(1+Assumptions!$C$4)^C$5</f>
        <v>96347.107438016523</v>
      </c>
      <c r="D15" s="8">
        <f>D14/(1+Assumptions!$C$4)^D$5</f>
        <v>171532.17129977458</v>
      </c>
      <c r="E15" s="8">
        <f>E14/(1+Assumptions!$C$4)^E$5</f>
        <v>212022.25613004577</v>
      </c>
    </row>
    <row r="16" spans="1:6" ht="15">
      <c r="A16" s="7" t="s">
        <v>88</v>
      </c>
      <c r="B16" s="10">
        <f>SUM(B15:E15)</f>
        <v>653174.26214056415</v>
      </c>
      <c r="C16" s="10"/>
      <c r="D16" s="10"/>
      <c r="E16" s="10"/>
    </row>
  </sheetData>
  <mergeCells count="2">
    <mergeCell ref="A1:F1"/>
    <mergeCell ref="A2:F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topLeftCell="E1" workbookViewId="0">
      <selection activeCell="U18" sqref="U18"/>
    </sheetView>
  </sheetViews>
  <sheetFormatPr defaultRowHeight="14.25"/>
  <cols>
    <col min="1" max="1" width="18" customWidth="1"/>
    <col min="2" max="5" width="13.625" customWidth="1"/>
    <col min="6" max="8" width="14.625" customWidth="1"/>
  </cols>
  <sheetData>
    <row r="1" spans="1:8" ht="18">
      <c r="A1" s="15" t="s">
        <v>99</v>
      </c>
      <c r="B1" s="16"/>
      <c r="C1" s="16"/>
      <c r="D1" s="16"/>
      <c r="E1" s="16"/>
      <c r="F1" s="16"/>
      <c r="G1" s="16"/>
      <c r="H1" s="16"/>
    </row>
    <row r="2" spans="1:8" ht="18">
      <c r="A2" s="13"/>
      <c r="B2" s="14"/>
      <c r="C2" s="14"/>
      <c r="D2" s="14"/>
      <c r="E2" s="14"/>
      <c r="F2" s="14"/>
      <c r="G2" s="14"/>
      <c r="H2" s="14"/>
    </row>
    <row r="3" spans="1:8" ht="15">
      <c r="A3" s="1" t="s">
        <v>100</v>
      </c>
      <c r="B3" s="1" t="s">
        <v>80</v>
      </c>
      <c r="C3" s="1" t="s">
        <v>81</v>
      </c>
      <c r="D3" s="1" t="s">
        <v>82</v>
      </c>
      <c r="E3" s="1" t="s">
        <v>83</v>
      </c>
      <c r="F3" s="1" t="s">
        <v>101</v>
      </c>
      <c r="G3" s="1" t="s">
        <v>102</v>
      </c>
      <c r="H3" s="1" t="s">
        <v>103</v>
      </c>
    </row>
    <row r="4" spans="1:8">
      <c r="A4" t="s">
        <v>15</v>
      </c>
      <c r="B4" s="8">
        <f>'Buy Strategy'!B12</f>
        <v>126000</v>
      </c>
      <c r="C4" s="8">
        <f>'Buy Strategy'!C12</f>
        <v>190500</v>
      </c>
      <c r="D4" s="8">
        <f>'Buy Strategy'!D12</f>
        <v>329130.60000000009</v>
      </c>
      <c r="E4" s="8">
        <f>'Buy Strategy'!E12</f>
        <v>633431.53800000018</v>
      </c>
      <c r="F4" s="8">
        <f>NPV(Assumptions!$D$4,B4:E4)</f>
        <v>1006855.2838532407</v>
      </c>
      <c r="G4" s="8">
        <f>NPV(Assumptions!$C$4,B4:E4)</f>
        <v>951906.42579058791</v>
      </c>
      <c r="H4" s="8">
        <f>NPV(Assumptions!$E$4,B4:E4)</f>
        <v>901191.28753522295</v>
      </c>
    </row>
    <row r="5" spans="1:8">
      <c r="A5" t="s">
        <v>26</v>
      </c>
      <c r="B5" s="8">
        <f>'Build Strategy'!B15</f>
        <v>263200</v>
      </c>
      <c r="C5" s="8">
        <f>'Build Strategy'!C15</f>
        <v>54308</v>
      </c>
      <c r="D5" s="8">
        <f>'Build Strategy'!D15</f>
        <v>212624.52</v>
      </c>
      <c r="E5" s="8">
        <f>'Build Strategy'!E15</f>
        <v>72886.350800000029</v>
      </c>
      <c r="F5" s="8">
        <f>NPV(Assumptions!$D$4,B5:E5)</f>
        <v>512625.90326348541</v>
      </c>
      <c r="G5" s="8">
        <f>NPV(Assumptions!$C$4,B5:E5)</f>
        <v>493685.67912027863</v>
      </c>
      <c r="H5" s="8">
        <f>NPV(Assumptions!$E$4,B5:E5)</f>
        <v>475956.53224120475</v>
      </c>
    </row>
    <row r="6" spans="1:8">
      <c r="A6" t="s">
        <v>51</v>
      </c>
      <c r="B6" s="8">
        <f>'Hybrid Strategy'!B14</f>
        <v>190600</v>
      </c>
      <c r="C6" s="8">
        <f>'Hybrid Strategy'!C14</f>
        <v>116580.00000000001</v>
      </c>
      <c r="D6" s="8">
        <f>'Hybrid Strategy'!D14</f>
        <v>228309.32000000004</v>
      </c>
      <c r="E6" s="8">
        <f>'Hybrid Strategy'!E14</f>
        <v>310421.7852000001</v>
      </c>
      <c r="F6" s="8">
        <f>NPV(Assumptions!$D$4,B6:E6)</f>
        <v>685838.6193740227</v>
      </c>
      <c r="G6" s="8">
        <f>NPV(Assumptions!$C$4,B6:E6)</f>
        <v>653174.26214056404</v>
      </c>
      <c r="H6" s="8">
        <f>NPV(Assumptions!$E$4,B6:E6)</f>
        <v>622900.154466482</v>
      </c>
    </row>
    <row r="8" spans="1:8" ht="15">
      <c r="A8" s="19" t="s">
        <v>104</v>
      </c>
      <c r="B8" s="18"/>
      <c r="C8" s="18"/>
      <c r="D8" s="18"/>
      <c r="E8" s="18"/>
      <c r="F8" s="18"/>
      <c r="G8" s="18"/>
      <c r="H8" s="18"/>
    </row>
    <row r="9" spans="1:8">
      <c r="A9" s="20" t="s">
        <v>105</v>
      </c>
      <c r="B9" s="21"/>
      <c r="C9" s="21"/>
      <c r="D9" s="21"/>
      <c r="E9" s="21"/>
      <c r="F9" s="21"/>
      <c r="G9" s="21"/>
      <c r="H9" s="21"/>
    </row>
    <row r="10" spans="1:8">
      <c r="A10" s="21"/>
      <c r="B10" s="21"/>
      <c r="C10" s="21"/>
      <c r="D10" s="21"/>
      <c r="E10" s="21"/>
      <c r="F10" s="21"/>
      <c r="G10" s="21"/>
      <c r="H10" s="21"/>
    </row>
    <row r="11" spans="1:8">
      <c r="A11" s="21"/>
      <c r="B11" s="21"/>
      <c r="C11" s="21"/>
      <c r="D11" s="21"/>
      <c r="E11" s="21"/>
      <c r="F11" s="21"/>
      <c r="G11" s="21"/>
      <c r="H11" s="21"/>
    </row>
    <row r="12" spans="1:8">
      <c r="A12" s="21"/>
      <c r="B12" s="21"/>
      <c r="C12" s="21"/>
      <c r="D12" s="21"/>
      <c r="E12" s="21"/>
      <c r="F12" s="21"/>
      <c r="G12" s="21"/>
      <c r="H12" s="21"/>
    </row>
    <row r="14" spans="1:8" ht="15">
      <c r="A14" s="19" t="s">
        <v>106</v>
      </c>
      <c r="B14" s="18"/>
      <c r="C14" s="18"/>
      <c r="D14" s="18"/>
      <c r="E14" s="18"/>
      <c r="F14" s="18"/>
      <c r="G14" s="18"/>
      <c r="H14" s="18"/>
    </row>
    <row r="15" spans="1:8">
      <c r="A15" s="20" t="s">
        <v>107</v>
      </c>
      <c r="B15" s="18"/>
      <c r="C15" s="18"/>
      <c r="D15" s="18"/>
      <c r="E15" s="18"/>
      <c r="F15" s="18"/>
      <c r="G15" s="18"/>
      <c r="H15" s="18"/>
    </row>
    <row r="16" spans="1:8">
      <c r="A16" s="18"/>
      <c r="B16" s="18"/>
      <c r="C16" s="18"/>
      <c r="D16" s="18"/>
      <c r="E16" s="18"/>
      <c r="F16" s="18"/>
      <c r="G16" s="18"/>
      <c r="H16" s="18"/>
    </row>
    <row r="17" spans="1:8">
      <c r="A17" s="18"/>
      <c r="B17" s="18"/>
      <c r="C17" s="18"/>
      <c r="D17" s="18"/>
      <c r="E17" s="18"/>
      <c r="F17" s="18"/>
      <c r="G17" s="18"/>
      <c r="H17" s="18"/>
    </row>
    <row r="18" spans="1:8">
      <c r="A18" s="18"/>
      <c r="B18" s="18"/>
      <c r="C18" s="18"/>
      <c r="D18" s="18"/>
      <c r="E18" s="18"/>
      <c r="F18" s="18"/>
      <c r="G18" s="18"/>
      <c r="H18" s="18"/>
    </row>
  </sheetData>
  <mergeCells count="5">
    <mergeCell ref="A1:H1"/>
    <mergeCell ref="A8:H8"/>
    <mergeCell ref="A9:H12"/>
    <mergeCell ref="A14:H14"/>
    <mergeCell ref="A15:H1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workbookViewId="0">
      <selection activeCell="I7" sqref="I7"/>
    </sheetView>
  </sheetViews>
  <sheetFormatPr defaultRowHeight="14.25"/>
  <cols>
    <col min="1" max="1" width="26.5" customWidth="1"/>
    <col min="2" max="2" width="23" customWidth="1"/>
    <col min="3" max="3" width="17.75" customWidth="1"/>
    <col min="4" max="4" width="18.125" customWidth="1"/>
    <col min="5" max="5" width="55" customWidth="1"/>
  </cols>
  <sheetData>
    <row r="1" spans="1:8" ht="18">
      <c r="A1" s="15" t="s">
        <v>108</v>
      </c>
      <c r="B1" s="16"/>
      <c r="C1" s="16"/>
      <c r="D1" s="16"/>
      <c r="E1" s="16"/>
      <c r="F1" s="16"/>
      <c r="G1" s="16"/>
      <c r="H1" s="16"/>
    </row>
    <row r="3" spans="1:8" ht="15">
      <c r="A3" s="1" t="s">
        <v>109</v>
      </c>
      <c r="B3" s="1" t="s">
        <v>13</v>
      </c>
      <c r="C3" s="1" t="s">
        <v>110</v>
      </c>
      <c r="D3" s="1" t="s">
        <v>111</v>
      </c>
    </row>
    <row r="4" spans="1:8">
      <c r="A4" t="s">
        <v>112</v>
      </c>
      <c r="B4" s="11">
        <f>Assumptions!$D$6</f>
        <v>0.25</v>
      </c>
      <c r="C4" s="8">
        <f>((Assumptions!$C$32*(1+Assumptions!$C$7)^0+Assumptions!$C$33*((1+B4)*(1+Assumptions!$C$8))^0+Assumptions!$C$34*(1+Assumptions!$C$9)^0+Assumptions!$C$35*(1+Assumptions!$C$10)^0+Assumptions!$C$36*(1+Assumptions!$C$11)^0)/(1+Assumptions!$C$4)^1)+((Assumptions!$C$32*(1+Assumptions!$C$7)^1+Assumptions!$C$33*((1+B4)*(1+Assumptions!$C$8))^1+Assumptions!$C$34*(1+Assumptions!$C$9)^1+Assumptions!$C$35*(1+Assumptions!$C$10)^1+Assumptions!$C$36*(1+Assumptions!$C$11)^1)/(1+Assumptions!$C$4)^2)+((Assumptions!$C$32*(1+Assumptions!$C$7)^2+Assumptions!$C$33*((1+B4)*(1+Assumptions!$C$8))^2+Assumptions!$C$34*(1+Assumptions!$C$9)^2+Assumptions!$C$35*(1+Assumptions!$C$10)^2+Assumptions!$C$36*(1+Assumptions!$C$11)^2)/(1+Assumptions!$C$4)^3)+((Assumptions!$C$32*(1+Assumptions!$C$7)^3+Assumptions!$C$33*((1+B4)*(1+Assumptions!$C$8))^3+Assumptions!$C$34*(1+Assumptions!$C$9)^3+Assumptions!$C$35*(1+Assumptions!$C$10)^3+Assumptions!$C$36*(1+Assumptions!$C$11)^3)/(1+Assumptions!$C$4)^4)</f>
        <v>529798.07800013653</v>
      </c>
      <c r="D4" s="8">
        <f>((Assumptions!$C$24+Assumptions!$C$25+Assumptions!$C$33*((1+B4)*(1+Assumptions!$C$8))^0*Assumptions!$C$27*(1-Assumptions!$C$26)+Assumptions!$C$32*(1+Assumptions!$C$7)^0*Assumptions!$C$28+Assumptions!$C$29*(1+Assumptions!$C$9)^0+Assumptions!$C$30*(1+Assumptions!$C$17)^0)/(1+Assumptions!$C$4)^1)+((0+Assumptions!$C$33*((1+B4)*(1+Assumptions!$C$8))^1*Assumptions!$C$27*(1-Assumptions!$C$26)+Assumptions!$C$32*(1+Assumptions!$C$7)^1*Assumptions!$C$28+Assumptions!$C$29*(1+Assumptions!$C$9)^1+Assumptions!$C$30*(1+Assumptions!$C$17)^1)/(1+Assumptions!$C$4)^2)+((Assumptions!$C$24*Assumptions!$C$31+Assumptions!$C$33*((1+B4)*(1+Assumptions!$C$8))^2*Assumptions!$C$27*(1-Assumptions!$C$26)+Assumptions!$C$32*(1+Assumptions!$C$7)^2*Assumptions!$C$28+Assumptions!$C$29*(1+Assumptions!$C$9)^2+Assumptions!$C$30*(1+Assumptions!$C$17)^2)/(1+Assumptions!$C$4)^3)+((0+Assumptions!$C$33*((1+B4)*(1+Assumptions!$C$8))^3*Assumptions!$C$27*(1-Assumptions!$C$26)+Assumptions!$C$32*(1+Assumptions!$C$7)^3*Assumptions!$C$28+Assumptions!$C$29*(1+Assumptions!$C$9)^3+Assumptions!$C$30*(1+Assumptions!$C$17)^3-Assumptions!$C$24*(1+Assumptions!$C$31)*Assumptions!$C$21)/(1+Assumptions!$C$4)^4)</f>
        <v>451750.65337067138</v>
      </c>
    </row>
    <row r="5" spans="1:8">
      <c r="A5" t="s">
        <v>113</v>
      </c>
      <c r="B5" s="11">
        <f>Assumptions!$C$6</f>
        <v>1</v>
      </c>
      <c r="C5" s="8">
        <f>((Assumptions!$C$32*(1+Assumptions!$C$7)^0+Assumptions!$C$33*((1+B5)*(1+Assumptions!$C$8))^0+Assumptions!$C$34*(1+Assumptions!$C$9)^0+Assumptions!$C$35*(1+Assumptions!$C$10)^0+Assumptions!$C$36*(1+Assumptions!$C$11)^0)/(1+Assumptions!$C$4)^1)+((Assumptions!$C$32*(1+Assumptions!$C$7)^1+Assumptions!$C$33*((1+B5)*(1+Assumptions!$C$8))^1+Assumptions!$C$34*(1+Assumptions!$C$9)^1+Assumptions!$C$35*(1+Assumptions!$C$10)^1+Assumptions!$C$36*(1+Assumptions!$C$11)^1)/(1+Assumptions!$C$4)^2)+((Assumptions!$C$32*(1+Assumptions!$C$7)^2+Assumptions!$C$33*((1+B5)*(1+Assumptions!$C$8))^2+Assumptions!$C$34*(1+Assumptions!$C$9)^2+Assumptions!$C$35*(1+Assumptions!$C$10)^2+Assumptions!$C$36*(1+Assumptions!$C$11)^2)/(1+Assumptions!$C$4)^3)+((Assumptions!$C$32*(1+Assumptions!$C$7)^3+Assumptions!$C$33*((1+B5)*(1+Assumptions!$C$8))^3+Assumptions!$C$34*(1+Assumptions!$C$9)^3+Assumptions!$C$35*(1+Assumptions!$C$10)^3+Assumptions!$C$36*(1+Assumptions!$C$11)^3)/(1+Assumptions!$C$4)^4)</f>
        <v>951906.42579058802</v>
      </c>
      <c r="D5" s="8">
        <f>((Assumptions!$C$24+Assumptions!$C$25+Assumptions!$C$33*((1+B5)*(1+Assumptions!$C$8))^0*Assumptions!$C$27*(1-Assumptions!$C$26)+Assumptions!$C$32*(1+Assumptions!$C$7)^0*Assumptions!$C$28+Assumptions!$C$29*(1+Assumptions!$C$9)^0+Assumptions!$C$30*(1+Assumptions!$C$17)^0)/(1+Assumptions!$C$4)^1)+((0+Assumptions!$C$33*((1+B5)*(1+Assumptions!$C$8))^1*Assumptions!$C$27*(1-Assumptions!$C$26)+Assumptions!$C$32*(1+Assumptions!$C$7)^1*Assumptions!$C$28+Assumptions!$C$29*(1+Assumptions!$C$9)^1+Assumptions!$C$30*(1+Assumptions!$C$17)^1)/(1+Assumptions!$C$4)^2)+((Assumptions!$C$24*Assumptions!$C$31+Assumptions!$C$33*((1+B5)*(1+Assumptions!$C$8))^2*Assumptions!$C$27*(1-Assumptions!$C$26)+Assumptions!$C$32*(1+Assumptions!$C$7)^2*Assumptions!$C$28+Assumptions!$C$29*(1+Assumptions!$C$9)^2+Assumptions!$C$30*(1+Assumptions!$C$17)^2)/(1+Assumptions!$C$4)^3)+((0+Assumptions!$C$33*((1+B5)*(1+Assumptions!$C$8))^3*Assumptions!$C$27*(1-Assumptions!$C$26)+Assumptions!$C$32*(1+Assumptions!$C$7)^3*Assumptions!$C$28+Assumptions!$C$29*(1+Assumptions!$C$9)^3+Assumptions!$C$30*(1+Assumptions!$C$17)^3-Assumptions!$C$24*(1+Assumptions!$C$31)*Assumptions!$C$21)/(1+Assumptions!$C$4)^4)</f>
        <v>657528.47291851649</v>
      </c>
    </row>
    <row r="6" spans="1:8">
      <c r="A6" t="s">
        <v>114</v>
      </c>
      <c r="B6" s="11">
        <f>Assumptions!$E$6</f>
        <v>0.65</v>
      </c>
      <c r="C6" s="8">
        <f>((Assumptions!$C$32*(1+Assumptions!$C$7)^0+Assumptions!$C$33*((1+B6)*(1+Assumptions!$C$8))^0+Assumptions!$C$34*(1+Assumptions!$C$9)^0+Assumptions!$C$35*(1+Assumptions!$C$10)^0+Assumptions!$C$36*(1+Assumptions!$C$11)^0)/(1+Assumptions!$C$4)^1)+((Assumptions!$C$32*(1+Assumptions!$C$7)^1+Assumptions!$C$33*((1+B6)*(1+Assumptions!$C$8))^1+Assumptions!$C$34*(1+Assumptions!$C$9)^1+Assumptions!$C$35*(1+Assumptions!$C$10)^1+Assumptions!$C$36*(1+Assumptions!$C$11)^1)/(1+Assumptions!$C$4)^2)+((Assumptions!$C$32*(1+Assumptions!$C$7)^2+Assumptions!$C$33*((1+B6)*(1+Assumptions!$C$8))^2+Assumptions!$C$34*(1+Assumptions!$C$9)^2+Assumptions!$C$35*(1+Assumptions!$C$10)^2+Assumptions!$C$36*(1+Assumptions!$C$11)^2)/(1+Assumptions!$C$4)^3)+((Assumptions!$C$32*(1+Assumptions!$C$7)^3+Assumptions!$C$33*((1+B6)*(1+Assumptions!$C$8))^3+Assumptions!$C$34*(1+Assumptions!$C$9)^3+Assumptions!$C$35*(1+Assumptions!$C$10)^3+Assumptions!$C$36*(1+Assumptions!$C$11)^3)/(1+Assumptions!$C$4)^4)</f>
        <v>716992.06503380905</v>
      </c>
      <c r="D6" s="8">
        <f>((Assumptions!$C$24+Assumptions!$C$25+Assumptions!$C$33*((1+B6)*(1+Assumptions!$C$8))^0*Assumptions!$C$27*(1-Assumptions!$C$26)+Assumptions!$C$32*(1+Assumptions!$C$7)^0*Assumptions!$C$28+Assumptions!$C$29*(1+Assumptions!$C$9)^0+Assumptions!$C$30*(1+Assumptions!$C$17)^0)/(1+Assumptions!$C$4)^1)+((0+Assumptions!$C$33*((1+B6)*(1+Assumptions!$C$8))^1*Assumptions!$C$27*(1-Assumptions!$C$26)+Assumptions!$C$32*(1+Assumptions!$C$7)^1*Assumptions!$C$28+Assumptions!$C$29*(1+Assumptions!$C$9)^1+Assumptions!$C$30*(1+Assumptions!$C$17)^1)/(1+Assumptions!$C$4)^2)+((Assumptions!$C$24*Assumptions!$C$31+Assumptions!$C$33*((1+B6)*(1+Assumptions!$C$8))^2*Assumptions!$C$27*(1-Assumptions!$C$26)+Assumptions!$C$32*(1+Assumptions!$C$7)^2*Assumptions!$C$28+Assumptions!$C$29*(1+Assumptions!$C$9)^2+Assumptions!$C$30*(1+Assumptions!$C$17)^2)/(1+Assumptions!$C$4)^3)+((0+Assumptions!$C$33*((1+B6)*(1+Assumptions!$C$8))^3*Assumptions!$C$27*(1-Assumptions!$C$26)+Assumptions!$C$32*(1+Assumptions!$C$7)^3*Assumptions!$C$28+Assumptions!$C$29*(1+Assumptions!$C$9)^3+Assumptions!$C$30*(1+Assumptions!$C$17)^3-Assumptions!$C$24*(1+Assumptions!$C$31)*Assumptions!$C$21)/(1+Assumptions!$C$4)^4)</f>
        <v>543007.72204958671</v>
      </c>
    </row>
    <row r="9" spans="1:8" ht="15">
      <c r="A9" s="1" t="s">
        <v>115</v>
      </c>
      <c r="B9" s="1" t="s">
        <v>112</v>
      </c>
      <c r="C9" s="1" t="s">
        <v>113</v>
      </c>
      <c r="D9" s="1" t="s">
        <v>114</v>
      </c>
      <c r="E9" s="1" t="s">
        <v>116</v>
      </c>
    </row>
    <row r="10" spans="1:8" ht="28.5">
      <c r="A10" t="s">
        <v>117</v>
      </c>
      <c r="B10" t="str">
        <f>IF(C4&lt;D4,"Buy","Hybrid")</f>
        <v>Hybrid</v>
      </c>
      <c r="C10" t="str">
        <f>IF(C5&lt;D5,"Buy","Hybrid")</f>
        <v>Hybrid</v>
      </c>
      <c r="D10" t="str">
        <f>IF(C6&lt;D6,"Buy","Hybrid")</f>
        <v>Hybrid</v>
      </c>
      <c r="E10" s="5" t="s">
        <v>118</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Assumptions</vt:lpstr>
      <vt:lpstr>Buy Strategy</vt:lpstr>
      <vt:lpstr>Build Strategy</vt:lpstr>
      <vt:lpstr>Hybrid Strategy</vt:lpstr>
      <vt:lpstr>NPV Summary</vt:lpstr>
      <vt:lpstr>Sensitivity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Asher Curtis</cp:lastModifiedBy>
  <dcterms:created xsi:type="dcterms:W3CDTF">2026-05-19T22:47:57Z</dcterms:created>
  <dcterms:modified xsi:type="dcterms:W3CDTF">2026-05-27T15:30:44Z</dcterms:modified>
</cp:coreProperties>
</file>